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<sst xmlns="http://schemas.openxmlformats.org/spreadsheetml/2006/main" count="1110" uniqueCount="282">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</sst>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J2" s="1">
        <v>22</v>
      </c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278</v>
      </c>
      <c r="N3" s="218" t="s">
        <v>279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275</v>
      </c>
      <c r="F4" s="223" t="s">
        <v>116</v>
      </c>
      <c r="G4" s="225" t="s">
        <v>276</v>
      </c>
      <c r="H4" s="227" t="s">
        <v>277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274539.02</v>
      </c>
      <c r="G8" s="18">
        <f aca="true" t="shared" si="0" ref="G8:G54">F8-E8</f>
        <v>10029.120000000054</v>
      </c>
      <c r="H8" s="45">
        <f>F8/E8*100</f>
        <v>103.7915858725893</v>
      </c>
      <c r="I8" s="31">
        <f aca="true" t="shared" si="1" ref="I8:I54">F8-D8</f>
        <v>-242889.97999999998</v>
      </c>
      <c r="J8" s="31">
        <f aca="true" t="shared" si="2" ref="J8:J14">F8/D8*100</f>
        <v>53.05829785342531</v>
      </c>
      <c r="K8" s="18">
        <f>K9+K15+K18+K19+K20+K32</f>
        <v>41240.86599999997</v>
      </c>
      <c r="L8" s="18"/>
      <c r="M8" s="18">
        <f>M9+M15+M18+M19+M20+M32+M17</f>
        <v>40984.19999999999</v>
      </c>
      <c r="N8" s="18">
        <f>N9+N15+N18+N19+N20+N32+N17</f>
        <v>21806.92</v>
      </c>
      <c r="O8" s="31">
        <f aca="true" t="shared" si="3" ref="O8:O54">N8-M8</f>
        <v>-19177.27999999999</v>
      </c>
      <c r="P8" s="31">
        <f>F8/M8*100</f>
        <v>669.8655091474277</v>
      </c>
      <c r="Q8" s="31">
        <f>N8-33748.16</f>
        <v>-11941.240000000005</v>
      </c>
      <c r="R8" s="125">
        <f>N8/33748.16</f>
        <v>0.6461661909864121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156468.46</v>
      </c>
      <c r="G9" s="43">
        <f t="shared" si="0"/>
        <v>1109.8099999999977</v>
      </c>
      <c r="H9" s="35">
        <f aca="true" t="shared" si="4" ref="H9:H32">F9/E9*100</f>
        <v>100.71435352971977</v>
      </c>
      <c r="I9" s="50">
        <f t="shared" si="1"/>
        <v>-156221.54</v>
      </c>
      <c r="J9" s="50">
        <f t="shared" si="2"/>
        <v>50.039483194217915</v>
      </c>
      <c r="K9" s="132">
        <f>F9-182998.13/75*60</f>
        <v>10069.955999999976</v>
      </c>
      <c r="L9" s="132">
        <f>F9/(182998.13/75*60)*100</f>
        <v>106.8784555339445</v>
      </c>
      <c r="M9" s="35">
        <f>E9-травень!E9</f>
        <v>27546</v>
      </c>
      <c r="N9" s="35">
        <f>F9-травень!F9</f>
        <v>18385.959999999992</v>
      </c>
      <c r="O9" s="47">
        <f t="shared" si="3"/>
        <v>-9160.040000000008</v>
      </c>
      <c r="P9" s="50">
        <f aca="true" t="shared" si="5" ref="P9:P32">N9/M9*100</f>
        <v>66.74638786030637</v>
      </c>
      <c r="Q9" s="132">
        <f>N9-26568.11</f>
        <v>-8182.150000000009</v>
      </c>
      <c r="R9" s="133">
        <f>N9/26568.11</f>
        <v>0.6920311606659258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138618.26</v>
      </c>
      <c r="G10" s="135">
        <f t="shared" si="0"/>
        <v>1924.0100000000093</v>
      </c>
      <c r="H10" s="137">
        <f t="shared" si="4"/>
        <v>101.40752811475247</v>
      </c>
      <c r="I10" s="136">
        <f t="shared" si="1"/>
        <v>-101791.73999999999</v>
      </c>
      <c r="J10" s="136">
        <f t="shared" si="2"/>
        <v>57.65910735826297</v>
      </c>
      <c r="K10" s="138">
        <f>F10-165146.65/75*60</f>
        <v>6500.940000000002</v>
      </c>
      <c r="L10" s="138">
        <f>F10/(165146.65/75*60)*100</f>
        <v>104.92058119253403</v>
      </c>
      <c r="M10" s="137">
        <f>E10-травень!E10</f>
        <v>24072</v>
      </c>
      <c r="N10" s="137">
        <f>F10-травень!F10</f>
        <v>16424.520000000004</v>
      </c>
      <c r="O10" s="138">
        <f t="shared" si="3"/>
        <v>-7647.479999999996</v>
      </c>
      <c r="P10" s="136">
        <f t="shared" si="5"/>
        <v>68.23080757726821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8267.52</v>
      </c>
      <c r="G11" s="135">
        <f t="shared" si="0"/>
        <v>-2520.4799999999996</v>
      </c>
      <c r="H11" s="137">
        <f t="shared" si="4"/>
        <v>76.63626251390434</v>
      </c>
      <c r="I11" s="136">
        <f t="shared" si="1"/>
        <v>-15432.48</v>
      </c>
      <c r="J11" s="136">
        <f t="shared" si="2"/>
        <v>34.884050632911396</v>
      </c>
      <c r="K11" s="138">
        <f>F11-11586.84/75*60</f>
        <v>-1001.9519999999993</v>
      </c>
      <c r="L11" s="138">
        <f>F11/(11586.84/75*60)*100</f>
        <v>89.19084064335057</v>
      </c>
      <c r="M11" s="137">
        <f>E11-травень!E11</f>
        <v>1830</v>
      </c>
      <c r="N11" s="137">
        <f>F11-травень!F11</f>
        <v>496.1300000000001</v>
      </c>
      <c r="O11" s="138">
        <f t="shared" si="3"/>
        <v>-1333.87</v>
      </c>
      <c r="P11" s="136">
        <f t="shared" si="5"/>
        <v>27.110928961748638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2411.69</v>
      </c>
      <c r="G12" s="135">
        <f t="shared" si="0"/>
        <v>-87.30999999999995</v>
      </c>
      <c r="H12" s="137">
        <f t="shared" si="4"/>
        <v>96.5062024809924</v>
      </c>
      <c r="I12" s="136">
        <f t="shared" si="1"/>
        <v>-3388.31</v>
      </c>
      <c r="J12" s="136">
        <f t="shared" si="2"/>
        <v>41.580862068965516</v>
      </c>
      <c r="K12" s="138">
        <f>F12-2585.22/75*60</f>
        <v>343.5140000000001</v>
      </c>
      <c r="L12" s="138">
        <f>F12/(2585.22*60)*100</f>
        <v>1.5547935314338175</v>
      </c>
      <c r="M12" s="137">
        <f>E12-травень!E12</f>
        <v>330</v>
      </c>
      <c r="N12" s="137">
        <f>F12-травень!F12</f>
        <v>242.65999999999985</v>
      </c>
      <c r="O12" s="138">
        <f t="shared" si="3"/>
        <v>-87.34000000000015</v>
      </c>
      <c r="P12" s="136">
        <f t="shared" si="5"/>
        <v>73.53333333333329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2616.02</v>
      </c>
      <c r="G13" s="135">
        <f t="shared" si="0"/>
        <v>-727.3800000000001</v>
      </c>
      <c r="H13" s="137">
        <f t="shared" si="4"/>
        <v>78.24430220733385</v>
      </c>
      <c r="I13" s="136">
        <f t="shared" si="1"/>
        <v>-5783.98</v>
      </c>
      <c r="J13" s="136">
        <f t="shared" si="2"/>
        <v>31.143095238095235</v>
      </c>
      <c r="K13" s="138">
        <f>F13-3679.42/75*60</f>
        <v>-327.5160000000001</v>
      </c>
      <c r="L13" s="138">
        <f>F13/(3679.42/75*60)*100</f>
        <v>88.87338221784955</v>
      </c>
      <c r="M13" s="137">
        <f>E13-травень!E13</f>
        <v>924</v>
      </c>
      <c r="N13" s="137">
        <f>F13-травень!F13</f>
        <v>312.3499999999999</v>
      </c>
      <c r="O13" s="138">
        <f t="shared" si="3"/>
        <v>-611.6500000000001</v>
      </c>
      <c r="P13" s="136">
        <f t="shared" si="5"/>
        <v>33.80411255411254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4554.98</v>
      </c>
      <c r="G14" s="135">
        <f t="shared" si="0"/>
        <v>2520.9799999999996</v>
      </c>
      <c r="H14" s="137">
        <f t="shared" si="4"/>
        <v>223.94198623402158</v>
      </c>
      <c r="I14" s="136">
        <f t="shared" si="1"/>
        <v>174.97999999999956</v>
      </c>
      <c r="J14" s="136">
        <f t="shared" si="2"/>
        <v>103.99497716894976</v>
      </c>
      <c r="K14" s="138">
        <f>F14-0</f>
        <v>4554.98</v>
      </c>
      <c r="L14" s="138"/>
      <c r="M14" s="137">
        <f>E14-травень!E14</f>
        <v>390</v>
      </c>
      <c r="N14" s="137">
        <f>F14-травень!F14</f>
        <v>910.3199999999997</v>
      </c>
      <c r="O14" s="138">
        <f t="shared" si="3"/>
        <v>520.3199999999997</v>
      </c>
      <c r="P14" s="136">
        <f t="shared" si="5"/>
        <v>233.41538461538454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-835.35</v>
      </c>
      <c r="G15" s="43">
        <f t="shared" si="0"/>
        <v>-1006.6500000000001</v>
      </c>
      <c r="H15" s="35"/>
      <c r="I15" s="50">
        <f t="shared" si="1"/>
        <v>-1335.35</v>
      </c>
      <c r="J15" s="50">
        <f>F15/D15*100</f>
        <v>-167.07</v>
      </c>
      <c r="K15" s="53">
        <f>F15-317.87</f>
        <v>-1153.22</v>
      </c>
      <c r="L15" s="53">
        <f>F15/317.87*100</f>
        <v>-262.796111617957</v>
      </c>
      <c r="M15" s="35">
        <f>E15-травень!E15</f>
        <v>0.10000000000002274</v>
      </c>
      <c r="N15" s="35">
        <f>F15-травень!F15</f>
        <v>45.389999999999986</v>
      </c>
      <c r="O15" s="47">
        <f t="shared" si="3"/>
        <v>45.289999999999964</v>
      </c>
      <c r="P15" s="50"/>
      <c r="Q15" s="50">
        <f>N15-358.81</f>
        <v>-313.42</v>
      </c>
      <c r="R15" s="126">
        <f>N15/358.81</f>
        <v>0.12650149103982605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-1330.3</v>
      </c>
      <c r="G16" s="135">
        <f t="shared" si="0"/>
        <v>-1330.3</v>
      </c>
      <c r="H16" s="137"/>
      <c r="I16" s="136">
        <f t="shared" si="1"/>
        <v>-1330.3</v>
      </c>
      <c r="J16" s="136"/>
      <c r="K16" s="138">
        <f>F16-828.15</f>
        <v>-2158.45</v>
      </c>
      <c r="L16" s="138">
        <f>F16/828.15*100</f>
        <v>-160.6351506369619</v>
      </c>
      <c r="M16" s="137">
        <f>E16-травень!E16</f>
        <v>0</v>
      </c>
      <c r="N16" s="137">
        <f>F16-травень!F16</f>
        <v>44.73000000000002</v>
      </c>
      <c r="O16" s="138">
        <f t="shared" si="3"/>
        <v>44.73000000000002</v>
      </c>
      <c r="P16" s="50"/>
      <c r="Q16" s="136">
        <f>N16-358.81</f>
        <v>-314.08</v>
      </c>
      <c r="R16" s="141">
        <f>N16/358.79</f>
        <v>0.12466902645001258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23347.58</v>
      </c>
      <c r="G19" s="43">
        <f t="shared" si="0"/>
        <v>4844.830000000002</v>
      </c>
      <c r="H19" s="35">
        <f t="shared" si="4"/>
        <v>126.1843779978652</v>
      </c>
      <c r="I19" s="50">
        <f t="shared" si="1"/>
        <v>-6602.419999999998</v>
      </c>
      <c r="J19" s="178">
        <f>F19/D19*100</f>
        <v>77.95519198664441</v>
      </c>
      <c r="K19" s="179">
        <f>F19-0</f>
        <v>23347.58</v>
      </c>
      <c r="L19" s="180"/>
      <c r="M19" s="35">
        <f>E19-травень!E19</f>
        <v>2720</v>
      </c>
      <c r="N19" s="35">
        <f>F19-травень!F19</f>
        <v>207.10000000000218</v>
      </c>
      <c r="O19" s="47">
        <f t="shared" si="3"/>
        <v>-2512.899999999998</v>
      </c>
      <c r="P19" s="50">
        <f t="shared" si="5"/>
        <v>7.613970588235375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91521.73</v>
      </c>
      <c r="G20" s="43">
        <f t="shared" si="0"/>
        <v>5052.330000000002</v>
      </c>
      <c r="H20" s="35">
        <f t="shared" si="4"/>
        <v>105.8429109025852</v>
      </c>
      <c r="I20" s="50">
        <f t="shared" si="1"/>
        <v>-75248.27</v>
      </c>
      <c r="J20" s="178">
        <f aca="true" t="shared" si="6" ref="J20:J46">F20/D20*100</f>
        <v>54.8790130119326</v>
      </c>
      <c r="K20" s="178">
        <f>K21+K25+K26+K27</f>
        <v>10238.509999999998</v>
      </c>
      <c r="L20" s="136"/>
      <c r="M20" s="35">
        <f>E20-травень!E20</f>
        <v>10717.799999999988</v>
      </c>
      <c r="N20" s="35">
        <f>F20-травень!F20</f>
        <v>3168.3800000000047</v>
      </c>
      <c r="O20" s="47">
        <f t="shared" si="3"/>
        <v>-7549.419999999984</v>
      </c>
      <c r="P20" s="50">
        <f t="shared" si="5"/>
        <v>29.56185037974219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47197.299999999996</v>
      </c>
      <c r="G21" s="43">
        <f t="shared" si="0"/>
        <v>-1079.9000000000015</v>
      </c>
      <c r="H21" s="35">
        <f t="shared" si="4"/>
        <v>97.76312627907168</v>
      </c>
      <c r="I21" s="50">
        <f t="shared" si="1"/>
        <v>-51002.700000000004</v>
      </c>
      <c r="J21" s="178">
        <f t="shared" si="6"/>
        <v>48.06242362525458</v>
      </c>
      <c r="K21" s="178">
        <f>K22+K23+K24</f>
        <v>7233.499999999999</v>
      </c>
      <c r="L21" s="136"/>
      <c r="M21" s="35">
        <f>E21-травень!E21</f>
        <v>8363.099999999999</v>
      </c>
      <c r="N21" s="35">
        <f>F21-травень!F21</f>
        <v>1405.9499999999898</v>
      </c>
      <c r="O21" s="47">
        <f t="shared" si="3"/>
        <v>-6957.150000000009</v>
      </c>
      <c r="P21" s="50">
        <f t="shared" si="5"/>
        <v>16.811349858306013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4500.03</v>
      </c>
      <c r="G22" s="135">
        <f t="shared" si="0"/>
        <v>4213.83</v>
      </c>
      <c r="H22" s="137">
        <f t="shared" si="4"/>
        <v>1572.3375262054508</v>
      </c>
      <c r="I22" s="136">
        <f t="shared" si="1"/>
        <v>3500.0299999999997</v>
      </c>
      <c r="J22" s="136">
        <f t="shared" si="6"/>
        <v>450.003</v>
      </c>
      <c r="K22" s="136">
        <f>F22-130.74</f>
        <v>4369.29</v>
      </c>
      <c r="L22" s="136">
        <f>F22/130.74*100</f>
        <v>3441.9687930243226</v>
      </c>
      <c r="M22" s="137">
        <f>E22-травень!E22</f>
        <v>10.099999999999966</v>
      </c>
      <c r="N22" s="137">
        <f>F22-травень!F22</f>
        <v>60.56999999999971</v>
      </c>
      <c r="O22" s="138">
        <f t="shared" si="3"/>
        <v>50.46999999999974</v>
      </c>
      <c r="P22" s="136">
        <f t="shared" si="5"/>
        <v>599.7029702970289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179.43</v>
      </c>
      <c r="G23" s="135">
        <f t="shared" si="0"/>
        <v>-70.57</v>
      </c>
      <c r="H23" s="137"/>
      <c r="I23" s="136">
        <f t="shared" si="1"/>
        <v>-1320.57</v>
      </c>
      <c r="J23" s="136">
        <f t="shared" si="6"/>
        <v>11.962</v>
      </c>
      <c r="K23" s="136">
        <f>F23-0</f>
        <v>179.43</v>
      </c>
      <c r="L23" s="136"/>
      <c r="M23" s="137">
        <f>E23-травень!E23</f>
        <v>0</v>
      </c>
      <c r="N23" s="137">
        <f>F23-травень!F23</f>
        <v>6.340000000000003</v>
      </c>
      <c r="O23" s="138">
        <f t="shared" si="3"/>
        <v>6.340000000000003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42517.84</v>
      </c>
      <c r="G24" s="135">
        <f t="shared" si="0"/>
        <v>-5223.1600000000035</v>
      </c>
      <c r="H24" s="137">
        <f t="shared" si="4"/>
        <v>89.05938292034101</v>
      </c>
      <c r="I24" s="136">
        <f t="shared" si="1"/>
        <v>-53182.16</v>
      </c>
      <c r="J24" s="136">
        <f t="shared" si="6"/>
        <v>44.42825496342737</v>
      </c>
      <c r="K24" s="139">
        <f>F24-39833.06</f>
        <v>2684.779999999999</v>
      </c>
      <c r="L24" s="139">
        <f>F24/39833.06*100</f>
        <v>106.7400797227228</v>
      </c>
      <c r="M24" s="137">
        <f>E24-травень!E24</f>
        <v>8353</v>
      </c>
      <c r="N24" s="137">
        <f>F24-травень!F24</f>
        <v>1339.0399999999936</v>
      </c>
      <c r="O24" s="138">
        <f t="shared" si="3"/>
        <v>-7013.960000000006</v>
      </c>
      <c r="P24" s="136">
        <f t="shared" si="5"/>
        <v>16.030647671495192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36.7</v>
      </c>
      <c r="G25" s="43">
        <f t="shared" si="0"/>
        <v>14.500000000000004</v>
      </c>
      <c r="H25" s="35">
        <f t="shared" si="4"/>
        <v>165.31531531531533</v>
      </c>
      <c r="I25" s="50">
        <f t="shared" si="1"/>
        <v>-33.3</v>
      </c>
      <c r="J25" s="178">
        <f t="shared" si="6"/>
        <v>52.42857142857144</v>
      </c>
      <c r="K25" s="178">
        <f>F25-27.78</f>
        <v>8.920000000000002</v>
      </c>
      <c r="L25" s="178">
        <f>F25/27.78*100</f>
        <v>132.10943124550036</v>
      </c>
      <c r="M25" s="35">
        <f>E25-травень!E25</f>
        <v>4.699999999999999</v>
      </c>
      <c r="N25" s="35">
        <f>F25-травень!F25</f>
        <v>3.5</v>
      </c>
      <c r="O25" s="47">
        <f t="shared" si="3"/>
        <v>-1.1999999999999993</v>
      </c>
      <c r="P25" s="50">
        <f t="shared" si="5"/>
        <v>74.46808510638299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-332.8</v>
      </c>
      <c r="G26" s="43">
        <f t="shared" si="0"/>
        <v>-332.8</v>
      </c>
      <c r="H26" s="35"/>
      <c r="I26" s="50">
        <f t="shared" si="1"/>
        <v>-332.8</v>
      </c>
      <c r="J26" s="136"/>
      <c r="K26" s="178">
        <f>F26-3237.93</f>
        <v>-3570.73</v>
      </c>
      <c r="L26" s="178">
        <f>F26/3237.93*100</f>
        <v>-10.278171547871635</v>
      </c>
      <c r="M26" s="35">
        <f>E26-травень!E26</f>
        <v>0</v>
      </c>
      <c r="N26" s="35">
        <f>F26-травень!F26</f>
        <v>-127.31</v>
      </c>
      <c r="O26" s="47">
        <f t="shared" si="3"/>
        <v>-127.31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44620.53</v>
      </c>
      <c r="G27" s="43">
        <f t="shared" si="0"/>
        <v>6450.529999999999</v>
      </c>
      <c r="H27" s="35">
        <f t="shared" si="4"/>
        <v>116.89947602829447</v>
      </c>
      <c r="I27" s="50">
        <f t="shared" si="1"/>
        <v>-23879.47</v>
      </c>
      <c r="J27" s="178">
        <f t="shared" si="6"/>
        <v>65.13945985401459</v>
      </c>
      <c r="K27" s="132">
        <f>F27-38053.71</f>
        <v>6566.82</v>
      </c>
      <c r="L27" s="132">
        <f>F27/38053.71*100</f>
        <v>117.25671425992368</v>
      </c>
      <c r="M27" s="35">
        <f>E27-травень!E27</f>
        <v>2350</v>
      </c>
      <c r="N27" s="35">
        <f>F27-травень!F27</f>
        <v>1886.239999999998</v>
      </c>
      <c r="O27" s="47">
        <f t="shared" si="3"/>
        <v>-463.76000000000204</v>
      </c>
      <c r="P27" s="50">
        <f t="shared" si="5"/>
        <v>80.26553191489353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11195.27</v>
      </c>
      <c r="G29" s="135">
        <f t="shared" si="0"/>
        <v>1455.2700000000004</v>
      </c>
      <c r="H29" s="137">
        <f t="shared" si="4"/>
        <v>114.9411704312115</v>
      </c>
      <c r="I29" s="136">
        <f t="shared" si="1"/>
        <v>-5304.73</v>
      </c>
      <c r="J29" s="136">
        <f t="shared" si="6"/>
        <v>67.85012121212122</v>
      </c>
      <c r="K29" s="139">
        <f>F29-10533.4</f>
        <v>661.8700000000008</v>
      </c>
      <c r="L29" s="139">
        <f>F29/10533.4*100</f>
        <v>106.28353618015076</v>
      </c>
      <c r="M29" s="137">
        <f>E29-травень!E29</f>
        <v>600</v>
      </c>
      <c r="N29" s="137">
        <f>F29-травень!F29</f>
        <v>369.8199999999997</v>
      </c>
      <c r="O29" s="138">
        <f t="shared" si="3"/>
        <v>-230.1800000000003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33419.49</v>
      </c>
      <c r="G30" s="135">
        <f t="shared" si="0"/>
        <v>4989.489999999998</v>
      </c>
      <c r="H30" s="137">
        <f t="shared" si="4"/>
        <v>117.55008793527963</v>
      </c>
      <c r="I30" s="136">
        <f t="shared" si="1"/>
        <v>-18580.510000000002</v>
      </c>
      <c r="J30" s="136">
        <f t="shared" si="6"/>
        <v>64.26825</v>
      </c>
      <c r="K30" s="139">
        <f>F30-27519.96</f>
        <v>5899.529999999999</v>
      </c>
      <c r="L30" s="139">
        <f>F30/27519.96*100</f>
        <v>121.43727679836745</v>
      </c>
      <c r="M30" s="137">
        <f>E30-травень!E30</f>
        <v>1750</v>
      </c>
      <c r="N30" s="137">
        <f>F30-травень!F30</f>
        <v>1516.4099999999962</v>
      </c>
      <c r="O30" s="138">
        <f t="shared" si="3"/>
        <v>-233.59000000000378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4020.71</v>
      </c>
      <c r="G32" s="43">
        <f t="shared" si="0"/>
        <v>25.909999999999854</v>
      </c>
      <c r="H32" s="35">
        <f t="shared" si="4"/>
        <v>100.64859317112244</v>
      </c>
      <c r="I32" s="50">
        <f t="shared" si="1"/>
        <v>-3479.29</v>
      </c>
      <c r="J32" s="178">
        <f t="shared" si="6"/>
        <v>53.60946666666667</v>
      </c>
      <c r="K32" s="178">
        <f>F32-5295.56</f>
        <v>-1274.8500000000004</v>
      </c>
      <c r="L32" s="178">
        <f>F32/5295.56*100</f>
        <v>75.92605881153267</v>
      </c>
      <c r="M32" s="35">
        <f>E32-травень!E32</f>
        <v>0.3000000000001819</v>
      </c>
      <c r="N32" s="35">
        <f>F32-травень!F32</f>
        <v>0.09000000000014552</v>
      </c>
      <c r="O32" s="47">
        <f t="shared" si="3"/>
        <v>-0.21000000000003638</v>
      </c>
      <c r="P32" s="50">
        <f t="shared" si="5"/>
        <v>30.00000000003032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14956.52</v>
      </c>
      <c r="G33" s="44">
        <f t="shared" si="0"/>
        <v>8839.02</v>
      </c>
      <c r="H33" s="45">
        <f>F33/E33*100</f>
        <v>244.48745402533714</v>
      </c>
      <c r="I33" s="31">
        <f t="shared" si="1"/>
        <v>2389.42</v>
      </c>
      <c r="J33" s="31">
        <f t="shared" si="6"/>
        <v>119.01329662372385</v>
      </c>
      <c r="K33" s="18">
        <f>K34+K35+K36+K37+K38+K41+K42+K47+K48+K52+K40</f>
        <v>8618.42</v>
      </c>
      <c r="L33" s="18"/>
      <c r="M33" s="18">
        <f>M34+M35+M36+M37+M38+M41+M42+M47+M48+M52+M40+M39</f>
        <v>954.5</v>
      </c>
      <c r="N33" s="18">
        <f>N34+N35+N36+N37+N38+N41+N42+N47+N48+N52+N40+N39</f>
        <v>1960.9900000000002</v>
      </c>
      <c r="O33" s="49">
        <f t="shared" si="3"/>
        <v>1006.4900000000002</v>
      </c>
      <c r="P33" s="31">
        <f>N33/M33*100</f>
        <v>205.44683080146675</v>
      </c>
      <c r="Q33" s="31">
        <f>N33-1017.63</f>
        <v>943.3600000000002</v>
      </c>
      <c r="R33" s="127">
        <f>N33/1017.63</f>
        <v>1.927016695655592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118.2</v>
      </c>
      <c r="G36" s="43">
        <f t="shared" si="0"/>
        <v>118.2</v>
      </c>
      <c r="H36" s="35"/>
      <c r="I36" s="50">
        <f t="shared" si="1"/>
        <v>118.2</v>
      </c>
      <c r="J36" s="50"/>
      <c r="K36" s="50">
        <f>F36-214.58</f>
        <v>-96.38000000000001</v>
      </c>
      <c r="L36" s="50">
        <f>F36/214.58*100</f>
        <v>55.08435082486718</v>
      </c>
      <c r="M36" s="35">
        <f>E36-травень!E36</f>
        <v>0</v>
      </c>
      <c r="N36" s="35">
        <f>F36-травень!F36</f>
        <v>5.400000000000006</v>
      </c>
      <c r="O36" s="47">
        <f t="shared" si="3"/>
        <v>5.400000000000006</v>
      </c>
      <c r="P36" s="50"/>
      <c r="Q36" s="50">
        <f>N36-4.23</f>
        <v>1.1700000000000053</v>
      </c>
      <c r="R36" s="126">
        <f>N36/4.23</f>
        <v>1.2765957446808522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73.62</v>
      </c>
      <c r="G38" s="43">
        <f t="shared" si="0"/>
        <v>8.620000000000005</v>
      </c>
      <c r="H38" s="35">
        <f>F38/E38*100</f>
        <v>113.26153846153846</v>
      </c>
      <c r="I38" s="50">
        <f t="shared" si="1"/>
        <v>-66.38</v>
      </c>
      <c r="J38" s="50">
        <f t="shared" si="6"/>
        <v>52.58571428571429</v>
      </c>
      <c r="K38" s="50">
        <f>F38-61.77</f>
        <v>11.850000000000001</v>
      </c>
      <c r="L38" s="50">
        <f>F38/61.77*100</f>
        <v>119.18406993686254</v>
      </c>
      <c r="M38" s="35">
        <f>E38-травень!E38</f>
        <v>14</v>
      </c>
      <c r="N38" s="35">
        <f>F38-травень!F38</f>
        <v>8.439999999999998</v>
      </c>
      <c r="O38" s="47">
        <f t="shared" si="3"/>
        <v>-5.560000000000002</v>
      </c>
      <c r="P38" s="50">
        <f>N38/M38*100</f>
        <v>60.28571428571426</v>
      </c>
      <c r="Q38" s="50">
        <f>N38-9.02</f>
        <v>-0.5800000000000018</v>
      </c>
      <c r="R38" s="126">
        <f>N38/9.02</f>
        <v>0.9356984478935696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4576.69</v>
      </c>
      <c r="G40" s="43"/>
      <c r="H40" s="35"/>
      <c r="I40" s="50">
        <f t="shared" si="1"/>
        <v>4576.69</v>
      </c>
      <c r="J40" s="50"/>
      <c r="K40" s="50">
        <f>F40-0</f>
        <v>4576.69</v>
      </c>
      <c r="L40" s="50"/>
      <c r="M40" s="35">
        <f>E40-травень!E40</f>
        <v>0</v>
      </c>
      <c r="N40" s="35">
        <f>F40-травень!F40</f>
        <v>461.14999999999964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F41-3551.7</f>
        <v>750.9800000000005</v>
      </c>
      <c r="L41" s="50">
        <f>F41/3551.7*100</f>
        <v>121.14424078610244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3669.16</v>
      </c>
      <c r="G42" s="43">
        <f t="shared" si="0"/>
        <v>3219.16</v>
      </c>
      <c r="H42" s="35">
        <f>F42/E42*100</f>
        <v>815.3688888888888</v>
      </c>
      <c r="I42" s="50">
        <f t="shared" si="1"/>
        <v>2569.16</v>
      </c>
      <c r="J42" s="50">
        <f t="shared" si="6"/>
        <v>333.56</v>
      </c>
      <c r="K42" s="50">
        <f>F42-415.33</f>
        <v>3253.83</v>
      </c>
      <c r="L42" s="50">
        <f>F42/415.33*100</f>
        <v>883.4324513037826</v>
      </c>
      <c r="M42" s="35">
        <f>E42-травень!E42</f>
        <v>70</v>
      </c>
      <c r="N42" s="35">
        <f>F42-травень!F42</f>
        <v>300.55999999999995</v>
      </c>
      <c r="O42" s="47">
        <f t="shared" si="3"/>
        <v>230.55999999999995</v>
      </c>
      <c r="P42" s="50">
        <f>N42/M42*100</f>
        <v>429.37142857142845</v>
      </c>
      <c r="Q42" s="50">
        <f>N42-79.51</f>
        <v>221.04999999999995</v>
      </c>
      <c r="R42" s="126">
        <f>N42/79.51</f>
        <v>3.7801534398188896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436.3</v>
      </c>
      <c r="G43" s="135">
        <f t="shared" si="0"/>
        <v>46.30000000000001</v>
      </c>
      <c r="H43" s="137">
        <f>F43/E43*100</f>
        <v>111.87179487179489</v>
      </c>
      <c r="I43" s="136">
        <f t="shared" si="1"/>
        <v>-533.7</v>
      </c>
      <c r="J43" s="136">
        <f t="shared" si="6"/>
        <v>44.97938144329897</v>
      </c>
      <c r="K43" s="136">
        <f>F43-359.18</f>
        <v>77.12</v>
      </c>
      <c r="L43" s="136">
        <f>F43/359.18*100</f>
        <v>121.47112868199787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44.87</v>
      </c>
      <c r="G44" s="135">
        <f t="shared" si="0"/>
        <v>44.87</v>
      </c>
      <c r="H44" s="137"/>
      <c r="I44" s="136">
        <f t="shared" si="1"/>
        <v>44.87</v>
      </c>
      <c r="J44" s="136"/>
      <c r="K44" s="136">
        <f>F44-0</f>
        <v>44.87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3187.26</v>
      </c>
      <c r="G46" s="135">
        <f t="shared" si="0"/>
        <v>3107.26</v>
      </c>
      <c r="H46" s="137">
        <f>F46/E46*100</f>
        <v>3984.075</v>
      </c>
      <c r="I46" s="136">
        <f t="shared" si="1"/>
        <v>3057.26</v>
      </c>
      <c r="J46" s="136">
        <f t="shared" si="6"/>
        <v>2451.7384615384617</v>
      </c>
      <c r="K46" s="136">
        <f>F46-56.15</f>
        <v>3131.11</v>
      </c>
      <c r="L46" s="136">
        <f>F46/56.15*100</f>
        <v>5676.33125556545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2112.67</v>
      </c>
      <c r="G48" s="43">
        <f t="shared" si="0"/>
        <v>132.67000000000007</v>
      </c>
      <c r="H48" s="35">
        <f>F48/E48*100</f>
        <v>106.70050505050506</v>
      </c>
      <c r="I48" s="50">
        <f t="shared" si="1"/>
        <v>-2087.33</v>
      </c>
      <c r="J48" s="50">
        <f>F48/D48*100</f>
        <v>50.30166666666667</v>
      </c>
      <c r="K48" s="50">
        <f>F48-1967.92</f>
        <v>144.75</v>
      </c>
      <c r="L48" s="50">
        <f>F48/1967.92*100</f>
        <v>107.35548193015975</v>
      </c>
      <c r="M48" s="35">
        <f>E48-травень!E48</f>
        <v>310</v>
      </c>
      <c r="N48" s="35">
        <f>F48-травень!F48</f>
        <v>284.8000000000002</v>
      </c>
      <c r="O48" s="47">
        <f t="shared" si="3"/>
        <v>-25.199999999999818</v>
      </c>
      <c r="P48" s="50">
        <f aca="true" t="shared" si="7" ref="P48:P53">N48/M48*100</f>
        <v>91.87096774193554</v>
      </c>
      <c r="Q48" s="50">
        <f>N48-277.38</f>
        <v>7.4200000000001864</v>
      </c>
      <c r="R48" s="126">
        <f>N48/277.38</f>
        <v>1.026750306438821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549.5</v>
      </c>
      <c r="G51" s="135">
        <f t="shared" si="0"/>
        <v>549.5</v>
      </c>
      <c r="H51" s="137"/>
      <c r="I51" s="136">
        <f t="shared" si="1"/>
        <v>549.5</v>
      </c>
      <c r="J51" s="136"/>
      <c r="K51" s="136">
        <f>F51-290</f>
        <v>259.5</v>
      </c>
      <c r="L51" s="138">
        <f>F51/290*100</f>
        <v>189.48275862068965</v>
      </c>
      <c r="M51" s="137">
        <f>E51-травень!E51</f>
        <v>0</v>
      </c>
      <c r="N51" s="137">
        <f>F51-травень!F51</f>
        <v>116.60000000000002</v>
      </c>
      <c r="O51" s="138">
        <f t="shared" si="3"/>
        <v>116.60000000000002</v>
      </c>
      <c r="P51" s="136"/>
      <c r="Q51" s="50">
        <f>N51-64.93</f>
        <v>51.670000000000016</v>
      </c>
      <c r="R51" s="126">
        <f>N51/64.93</f>
        <v>1.795780070845526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289502.0800000001</v>
      </c>
      <c r="G55" s="44">
        <f>F55-E55</f>
        <v>18861.88000000012</v>
      </c>
      <c r="H55" s="45">
        <f>F55/E55*100</f>
        <v>106.96935636317151</v>
      </c>
      <c r="I55" s="31">
        <f>F55-D55</f>
        <v>-240520.5199999999</v>
      </c>
      <c r="J55" s="31">
        <f>F55/D55*100</f>
        <v>54.62070485296289</v>
      </c>
      <c r="K55" s="31">
        <f>K8+K33+K53+K54</f>
        <v>49851.835999999974</v>
      </c>
      <c r="L55" s="31">
        <f>(K55/(F55+K55))*100</f>
        <v>14.690219752761</v>
      </c>
      <c r="M55" s="18">
        <f>M8+M33+M53+M54</f>
        <v>41940.89999999999</v>
      </c>
      <c r="N55" s="18">
        <f>N8+N33+N53+N54</f>
        <v>23767.91</v>
      </c>
      <c r="O55" s="49">
        <f>N55-M55</f>
        <v>-18172.989999999987</v>
      </c>
      <c r="P55" s="31">
        <f>N55/M55*100</f>
        <v>56.67000469708567</v>
      </c>
      <c r="Q55" s="31">
        <f>N55-34768</f>
        <v>-11000.09</v>
      </c>
      <c r="R55" s="171">
        <f>N55/34768</f>
        <v>0.6836145306028532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F61-165.21</f>
        <v>-192.9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-191.76000000000002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F64-1658.94</f>
        <v>-1464.97</v>
      </c>
      <c r="L64" s="53">
        <f>F64/1658.94*100</f>
        <v>11.69240599418906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F65-2117.13</f>
        <v>350.3800000000001</v>
      </c>
      <c r="L65" s="53">
        <f>F65/2117.13*100</f>
        <v>116.54976312271803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F66-728.31</f>
        <v>940.1100000000001</v>
      </c>
      <c r="L66" s="53">
        <f>F66/728.31*100</f>
        <v>229.08102319067433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4329.9</v>
      </c>
      <c r="G67" s="55">
        <f t="shared" si="8"/>
        <v>689.6999999999998</v>
      </c>
      <c r="H67" s="65">
        <f>F67/E67*100</f>
        <v>118.94676116696886</v>
      </c>
      <c r="I67" s="54">
        <f t="shared" si="9"/>
        <v>-12746.1</v>
      </c>
      <c r="J67" s="54">
        <f t="shared" si="11"/>
        <v>25.356640899508083</v>
      </c>
      <c r="K67" s="54">
        <f>K64+K65+K66</f>
        <v>-174.4799999999998</v>
      </c>
      <c r="L67" s="54"/>
      <c r="M67" s="55">
        <f>M64+M65+M66</f>
        <v>584.14</v>
      </c>
      <c r="N67" s="55">
        <f>N64+N65+N66</f>
        <v>0.2300000000000182</v>
      </c>
      <c r="O67" s="54">
        <f t="shared" si="10"/>
        <v>-583.91</v>
      </c>
      <c r="P67" s="54">
        <f>N67/M67*100</f>
        <v>0.03937412264183555</v>
      </c>
      <c r="Q67" s="54">
        <f>N67-7985.28</f>
        <v>-7985.049999999999</v>
      </c>
      <c r="R67" s="173">
        <f>N67/7985.28</f>
        <v>2.880299751543067E-05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F70-0.26</f>
        <v>0.69</v>
      </c>
      <c r="L70" s="53">
        <f>F70/0.26*100</f>
        <v>365.38461538461536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-31.24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F72-21.12</f>
        <v>-7.07</v>
      </c>
      <c r="L72" s="53">
        <f>F72/21.12*100</f>
        <v>66.52462121212122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4317.409999999999</v>
      </c>
      <c r="G74" s="44">
        <f>F74-E74</f>
        <v>631.4199999999992</v>
      </c>
      <c r="H74" s="45">
        <f>F74/E74*100</f>
        <v>117.13026893724614</v>
      </c>
      <c r="I74" s="31">
        <f>F74-D74</f>
        <v>-12854.59</v>
      </c>
      <c r="J74" s="31">
        <f>F74/D74*100</f>
        <v>25.142150011646862</v>
      </c>
      <c r="K74" s="31">
        <f>K62+K67+K71+K72</f>
        <v>-404.5499999999998</v>
      </c>
      <c r="L74" s="31"/>
      <c r="M74" s="27">
        <f>M62+M72+M67+M71</f>
        <v>595.14</v>
      </c>
      <c r="N74" s="27">
        <f>N62+N72+N67+N71+N73</f>
        <v>-8.069999999999983</v>
      </c>
      <c r="O74" s="31">
        <f>N74-M74</f>
        <v>-603.2099999999999</v>
      </c>
      <c r="P74" s="31">
        <f>N74/M74*100</f>
        <v>-1.3559834660752061</v>
      </c>
      <c r="Q74" s="31">
        <f>N74-8104.96</f>
        <v>-8113.03</v>
      </c>
      <c r="R74" s="127">
        <f>N74/8104.96</f>
        <v>-0.000995686591914085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293819.49000000005</v>
      </c>
      <c r="G75" s="44">
        <f>F75-E75</f>
        <v>19493.300000000105</v>
      </c>
      <c r="H75" s="45">
        <f>F75/E75*100</f>
        <v>107.10588369269449</v>
      </c>
      <c r="I75" s="31">
        <f>F75-D75</f>
        <v>-253375.10999999993</v>
      </c>
      <c r="J75" s="31">
        <f>F75/D75*100</f>
        <v>53.69561212775127</v>
      </c>
      <c r="K75" s="31">
        <f>K55+K74</f>
        <v>49447.28599999997</v>
      </c>
      <c r="L75" s="31"/>
      <c r="M75" s="18">
        <f>M55+M74</f>
        <v>42536.039999999986</v>
      </c>
      <c r="N75" s="18">
        <f>N55+N74</f>
        <v>23759.84</v>
      </c>
      <c r="O75" s="31">
        <f>N75-M75</f>
        <v>-18776.199999999986</v>
      </c>
      <c r="P75" s="31">
        <f>N75/M75*100</f>
        <v>55.85813818117532</v>
      </c>
      <c r="Q75" s="31">
        <f>N75-42872.96</f>
        <v>-19113.12</v>
      </c>
      <c r="R75" s="127">
        <f>N75/42872.96</f>
        <v>0.5541917329710848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2019.2211111111096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42171</v>
      </c>
      <c r="D79" s="34">
        <v>1383.3</v>
      </c>
      <c r="N79" s="232"/>
      <c r="O79" s="232"/>
    </row>
    <row r="80" spans="3:15" ht="15.75">
      <c r="C80" s="111">
        <v>42170</v>
      </c>
      <c r="D80" s="34">
        <v>3510.5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42167</v>
      </c>
      <c r="D81" s="34">
        <v>2297.6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153048.85088999997</v>
      </c>
      <c r="E83" s="73"/>
      <c r="F83" s="156" t="s">
        <v>147</v>
      </c>
      <c r="G83" s="238" t="s">
        <v>149</v>
      </c>
      <c r="H83" s="238"/>
      <c r="I83" s="107">
        <v>144139.11867999999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2015-06-17T09:02:14Z</cp:lastPrinted>
  <dcterms:created xsi:type="dcterms:W3CDTF">2003-07-28T11:27:56Z</dcterms:created>
  <dcterms:modified xsi:type="dcterms:W3CDTF">2015-06-17T09:14:04Z</dcterms:modified>
  <cp:category/>
  <cp:version/>
  <cp:contentType/>
  <cp:contentStatus/>
</cp:coreProperties>
</file>